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filterPrivacy="1" codeName="ThisWorkbook"/>
  <xr:revisionPtr revIDLastSave="0" documentId="13_ncr:1_{4F7DD890-F250-43AA-838A-E8E56090324B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1" l="1"/>
  <c r="H29" i="1"/>
  <c r="F29" i="1"/>
  <c r="H28" i="1"/>
  <c r="D31" i="1" s="1"/>
  <c r="F28" i="1"/>
  <c r="F21" i="1"/>
  <c r="H17" i="1"/>
  <c r="F17" i="1"/>
  <c r="H16" i="1"/>
  <c r="D19" i="1" s="1"/>
  <c r="F16" i="1"/>
  <c r="D30" i="1" l="1"/>
  <c r="D32" i="1" s="1"/>
  <c r="D18" i="1"/>
  <c r="D20" i="1" l="1"/>
  <c r="D24" i="1" s="1"/>
  <c r="F30" i="1"/>
  <c r="F32" i="1"/>
  <c r="D34" i="1" s="1"/>
  <c r="F34" i="1" s="1"/>
  <c r="D36" i="1"/>
  <c r="D37" i="1" s="1"/>
  <c r="F18" i="1"/>
  <c r="F35" i="1"/>
  <c r="F20" i="1" l="1"/>
  <c r="F24" i="1"/>
  <c r="F37" i="1"/>
  <c r="F36" i="1"/>
  <c r="D22" i="1" l="1"/>
  <c r="F23" i="1"/>
  <c r="F22" i="1" l="1"/>
  <c r="D25" i="1"/>
  <c r="F25" i="1" s="1"/>
  <c r="D39" i="1"/>
  <c r="D40" i="1" l="1"/>
  <c r="D41" i="1" s="1"/>
  <c r="D42" i="1"/>
  <c r="D43" i="1" s="1"/>
</calcChain>
</file>

<file path=xl/sharedStrings.xml><?xml version="1.0" encoding="utf-8"?>
<sst xmlns="http://schemas.openxmlformats.org/spreadsheetml/2006/main" count="76" uniqueCount="37">
  <si>
    <t>Condensate Flowrate Calculator</t>
  </si>
  <si>
    <t>Airflow (CFM)</t>
  </si>
  <si>
    <t>cfm</t>
  </si>
  <si>
    <t>Leaving Air (Off-coil)</t>
  </si>
  <si>
    <t>T Dry Bulb</t>
  </si>
  <si>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>F</t>
    </r>
  </si>
  <si>
    <t>K</t>
  </si>
  <si>
    <t>°C</t>
  </si>
  <si>
    <t>T Wet Bulb</t>
  </si>
  <si>
    <t>°F</t>
  </si>
  <si>
    <t>Water Vapour Partial Pressure, Pw</t>
  </si>
  <si>
    <t>mbar</t>
  </si>
  <si>
    <t>kPa</t>
  </si>
  <si>
    <t>Pa</t>
  </si>
  <si>
    <t>Water Vapour Saturation Pressure, Pws (Pa)</t>
  </si>
  <si>
    <t>P atm</t>
  </si>
  <si>
    <t>kg/kg</t>
  </si>
  <si>
    <t>g/kg</t>
  </si>
  <si>
    <t>Humidity Ratio, HR</t>
  </si>
  <si>
    <t>Relative Humidty, %</t>
  </si>
  <si>
    <t>%</t>
  </si>
  <si>
    <t>Density</t>
  </si>
  <si>
    <t>kg/m3</t>
  </si>
  <si>
    <t>lb/ft3</t>
  </si>
  <si>
    <t>Specific Volume of Air</t>
  </si>
  <si>
    <t>m3/kg</t>
  </si>
  <si>
    <t>ft3/lb</t>
  </si>
  <si>
    <t>Entering Air</t>
  </si>
  <si>
    <t>Difference in HR</t>
  </si>
  <si>
    <t>lb/lb</t>
  </si>
  <si>
    <t>Mass Flowrate of Air</t>
  </si>
  <si>
    <t>lb/min</t>
  </si>
  <si>
    <t>Condensate Flowrate</t>
  </si>
  <si>
    <t>usgpm</t>
  </si>
  <si>
    <t>mL/s</t>
  </si>
  <si>
    <t>Vapour Pressure related to wet-bulb Temp., ew</t>
  </si>
  <si>
    <t>Formulae involved: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</si>
</sst>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00_ "/>
    <numFmt numFmtId="165" formatCode="0.000000000_ "/>
    <numFmt numFmtId="166" formatCode="0.00_ "/>
    <numFmt numFmtId="167" formatCode="0.0_ "/>
    <numFmt numFmtId="168" formatCode="0.0000_ "/>
    <numFmt numFmtId="169" formatCode="0.000000_ "/>
    <numFmt numFmtId="170" formatCode="0_ "/>
    <numFmt numFmtId="171" formatCode="0.0000000_ "/>
  </numFmts>
  <fonts count="6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3" fontId="0" fillId="0" borderId="4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 vertical="center"/>
    </xf>
    <xf numFmtId="167" fontId="4" fillId="0" borderId="0" xfId="0" applyNumberFormat="1" applyFont="1" applyFill="1" applyBorder="1" applyAlignment="1">
      <alignment horizontal="center" vertical="center"/>
    </xf>
    <xf numFmtId="168" fontId="0" fillId="0" borderId="0" xfId="0" applyNumberForma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9" fontId="4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Border="1" applyAlignment="1">
      <alignment horizontal="center" vertical="center"/>
    </xf>
    <xf numFmtId="170" fontId="0" fillId="0" borderId="0" xfId="0" applyNumberFormat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8" xfId="0" applyBorder="1" applyAlignment="1">
      <alignment horizontal="center" vertical="center"/>
    </xf>
    <xf numFmtId="165" fontId="0" fillId="0" borderId="0" xfId="0" applyNumberFormat="1">
      <alignment vertical="center"/>
    </xf>
    <xf numFmtId="168" fontId="0" fillId="0" borderId="0" xfId="0" applyNumberFormat="1">
      <alignment vertical="center"/>
    </xf>
    <xf numFmtId="164" fontId="0" fillId="0" borderId="8" xfId="0" applyNumberFormat="1" applyBorder="1" applyAlignment="1">
      <alignment horizontal="center" vertical="center"/>
    </xf>
    <xf numFmtId="0" fontId="0" fillId="0" borderId="9" xfId="0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171" fontId="4" fillId="0" borderId="0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289311</xdr:colOff>
      <xdr:row>4</xdr:row>
      <xdr:rowOff>79927</xdr:rowOff>
    </xdr:from>
    <xdr:to>
      <xdr:col>7</xdr:col>
      <xdr:colOff>402838</xdr:colOff>
      <xdr:row>13</xdr:row>
      <xdr:rowOff>34372</xdr:rowOff>
    </xdr:to>
    <xdr:pic>
      <xdr:nvPicPr>
        <xdr:cNvPr id="67" name="Picture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7525" y="839470"/>
          <a:ext cx="5806440" cy="1600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5</xdr:col>
      <xdr:colOff>163000</xdr:colOff>
      <xdr:row>8</xdr:row>
      <xdr:rowOff>40087</xdr:rowOff>
    </xdr:from>
    <xdr:to>
      <xdr:col>5</xdr:col>
      <xdr:colOff>639000</xdr:colOff>
      <xdr:row>9</xdr:row>
      <xdr:rowOff>103864</xdr:rowOff>
    </xdr:to>
    <xdr:sp macro="" textlink="$D$16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833620" y="1531620"/>
          <a:ext cx="476250" cy="2463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A6D5AC26-54C2-4B3D-84F2-E13B9AE7883D}" type="TxLink">
            <a:rPr lang="en-US" sz="1000" b="0" i="0" u="none" strike="noStrike">
              <a:solidFill>
                <a:srgbClr val="000000"/>
              </a:solidFill>
              <a:latin typeface="Calibri" panose="020F0502020204030204"/>
              <a:cs typeface="Calibri" panose="020F0502020204030204"/>
            </a:rPr>
            <a:pPr/>
            <a:t>52.9</a:t>
          </a:fld>
          <a:endParaRPr lang="en-US" sz="1000" b="0" i="0" u="none" strike="noStrike">
            <a:solidFill>
              <a:srgbClr val="000000"/>
            </a:solidFill>
            <a:latin typeface="Calibri" panose="020F0502020204030204"/>
            <a:cs typeface="Calibri" panose="020F0502020204030204"/>
          </a:endParaRPr>
        </a:p>
      </xdr:txBody>
    </xdr:sp>
    <xdr:clientData/>
  </xdr:twoCellAnchor>
  <xdr:twoCellAnchor>
    <xdr:from>
      <xdr:col>5</xdr:col>
      <xdr:colOff>478487</xdr:colOff>
      <xdr:row>8</xdr:row>
      <xdr:rowOff>37602</xdr:rowOff>
    </xdr:from>
    <xdr:to>
      <xdr:col>6</xdr:col>
      <xdr:colOff>335113</xdr:colOff>
      <xdr:row>9</xdr:row>
      <xdr:rowOff>118524</xdr:rowOff>
    </xdr:to>
    <xdr:sp macro="" textlink="$H$16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149215" y="1529080"/>
          <a:ext cx="657860" cy="263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F7AC0A73-BC06-4531-94AC-B05629831DFC}" type="TxLink">
            <a:rPr lang="en-US" sz="1000" b="0" i="0" u="none" strike="noStrike">
              <a:solidFill>
                <a:srgbClr val="000000"/>
              </a:solidFill>
              <a:latin typeface="Calibri" panose="020F0502020204030204"/>
              <a:cs typeface="Calibri" panose="020F0502020204030204"/>
            </a:rPr>
            <a:pPr/>
            <a:t>11.61 </a:t>
          </a:fld>
          <a:endParaRPr lang="en-US" sz="1000" b="0" i="0" u="none" strike="noStrike">
            <a:solidFill>
              <a:srgbClr val="000000"/>
            </a:solidFill>
            <a:latin typeface="Calibri" panose="020F0502020204030204"/>
            <a:cs typeface="Calibri" panose="020F0502020204030204"/>
          </a:endParaRPr>
        </a:p>
      </xdr:txBody>
    </xdr:sp>
    <xdr:clientData/>
  </xdr:twoCellAnchor>
  <xdr:twoCellAnchor>
    <xdr:from>
      <xdr:col>6</xdr:col>
      <xdr:colOff>29736</xdr:colOff>
      <xdr:row>8</xdr:row>
      <xdr:rowOff>37602</xdr:rowOff>
    </xdr:from>
    <xdr:to>
      <xdr:col>7</xdr:col>
      <xdr:colOff>135420</xdr:colOff>
      <xdr:row>9</xdr:row>
      <xdr:rowOff>118524</xdr:rowOff>
    </xdr:to>
    <xdr:sp macro="" textlink="$D$17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562519" y="1521845"/>
          <a:ext cx="509875" cy="2664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BDB6ACD0-8BC1-48A2-B431-7F3B3F2F1CEF}" type="TxLink">
            <a:rPr lang="en-US" sz="1000" b="0" i="0" u="none" strike="noStrike">
              <a:solidFill>
                <a:srgbClr val="000000"/>
              </a:solidFill>
              <a:latin typeface="Calibri" panose="020F0502020204030204"/>
              <a:cs typeface="Calibri" panose="020F0502020204030204"/>
            </a:rPr>
            <a:pPr/>
            <a:t>50.6</a:t>
          </a:fld>
          <a:endParaRPr lang="en-US" sz="1000" b="0" i="0" u="none" strike="noStrike">
            <a:solidFill>
              <a:srgbClr val="000000"/>
            </a:solidFill>
            <a:latin typeface="Calibri" panose="020F0502020204030204"/>
            <a:cs typeface="Calibri" panose="020F0502020204030204"/>
          </a:endParaRPr>
        </a:p>
      </xdr:txBody>
    </xdr:sp>
    <xdr:clientData/>
  </xdr:twoCellAnchor>
  <xdr:twoCellAnchor>
    <xdr:from>
      <xdr:col>6</xdr:col>
      <xdr:colOff>342653</xdr:colOff>
      <xdr:row>8</xdr:row>
      <xdr:rowOff>44228</xdr:rowOff>
    </xdr:from>
    <xdr:to>
      <xdr:col>7</xdr:col>
      <xdr:colOff>424979</xdr:colOff>
      <xdr:row>9</xdr:row>
      <xdr:rowOff>127055</xdr:rowOff>
    </xdr:to>
    <xdr:sp macro="" textlink="$H$17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875436" y="1528471"/>
          <a:ext cx="486517" cy="2683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A38165B5-AFDF-4BDD-9346-AEC3438DACB6}" type="TxLink">
            <a:rPr lang="en-US" sz="1000" b="0" i="0" u="none" strike="noStrike">
              <a:solidFill>
                <a:srgbClr val="000000"/>
              </a:solidFill>
              <a:latin typeface="Calibri" panose="020F0502020204030204"/>
              <a:cs typeface="Calibri" panose="020F0502020204030204"/>
            </a:rPr>
            <a:pPr/>
            <a:t>10.33 </a:t>
          </a:fld>
          <a:endParaRPr lang="en-US" sz="1000" b="0" i="0" u="none" strike="noStrike">
            <a:solidFill>
              <a:srgbClr val="000000"/>
            </a:solidFill>
            <a:latin typeface="Calibri" panose="020F0502020204030204"/>
            <a:cs typeface="Calibri" panose="020F0502020204030204"/>
          </a:endParaRPr>
        </a:p>
      </xdr:txBody>
    </xdr:sp>
    <xdr:clientData/>
  </xdr:twoCellAnchor>
  <xdr:twoCellAnchor>
    <xdr:from>
      <xdr:col>2</xdr:col>
      <xdr:colOff>20377</xdr:colOff>
      <xdr:row>8</xdr:row>
      <xdr:rowOff>49033</xdr:rowOff>
    </xdr:from>
    <xdr:to>
      <xdr:col>2</xdr:col>
      <xdr:colOff>521141</xdr:colOff>
      <xdr:row>9</xdr:row>
      <xdr:rowOff>128050</xdr:rowOff>
    </xdr:to>
    <xdr:sp macro="" textlink="$D$28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68960" y="1540510"/>
          <a:ext cx="500380" cy="2616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476A722-0C9A-4521-9950-ABC67EA5BA3E}" type="TxLink">
            <a:rPr lang="en-US" sz="1000" b="0" i="0" u="none" strike="noStrike">
              <a:solidFill>
                <a:srgbClr val="000000"/>
              </a:solidFill>
              <a:latin typeface="Calibri" panose="020F0502020204030204"/>
              <a:cs typeface="Calibri" panose="020F0502020204030204"/>
            </a:rPr>
            <a:pPr/>
            <a:t>72.8</a:t>
          </a:fld>
          <a:endParaRPr lang="en-US" sz="1000" b="0" i="0" u="none" strike="noStrike">
            <a:solidFill>
              <a:srgbClr val="000000"/>
            </a:solidFill>
            <a:latin typeface="Calibri" panose="020F0502020204030204"/>
            <a:cs typeface="Calibri" panose="020F0502020204030204"/>
          </a:endParaRPr>
        </a:p>
      </xdr:txBody>
    </xdr:sp>
    <xdr:clientData/>
  </xdr:twoCellAnchor>
  <xdr:twoCellAnchor>
    <xdr:from>
      <xdr:col>2</xdr:col>
      <xdr:colOff>393757</xdr:colOff>
      <xdr:row>8</xdr:row>
      <xdr:rowOff>50275</xdr:rowOff>
    </xdr:from>
    <xdr:to>
      <xdr:col>2</xdr:col>
      <xdr:colOff>885576</xdr:colOff>
      <xdr:row>9</xdr:row>
      <xdr:rowOff>121672</xdr:rowOff>
    </xdr:to>
    <xdr:sp macro="" textlink="$H$28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942340" y="1541780"/>
          <a:ext cx="49149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B8709897-A105-4A94-A684-C4C7A96BD78D}" type="TxLink">
            <a:rPr lang="en-US" sz="1000" b="0" i="0" u="none" strike="noStrike">
              <a:solidFill>
                <a:srgbClr val="000000"/>
              </a:solidFill>
              <a:latin typeface="Calibri" panose="020F0502020204030204"/>
              <a:cs typeface="Calibri" panose="020F0502020204030204"/>
            </a:rPr>
            <a:pPr/>
            <a:t>22.67 </a:t>
          </a:fld>
          <a:endParaRPr lang="en-US" sz="1000" b="0" i="0" u="none" strike="noStrike">
            <a:solidFill>
              <a:srgbClr val="000000"/>
            </a:solidFill>
            <a:latin typeface="Calibri" panose="020F0502020204030204"/>
            <a:cs typeface="Calibri" panose="020F0502020204030204"/>
          </a:endParaRPr>
        </a:p>
      </xdr:txBody>
    </xdr:sp>
    <xdr:clientData/>
  </xdr:twoCellAnchor>
  <xdr:twoCellAnchor>
    <xdr:from>
      <xdr:col>2</xdr:col>
      <xdr:colOff>779810</xdr:colOff>
      <xdr:row>8</xdr:row>
      <xdr:rowOff>51600</xdr:rowOff>
    </xdr:from>
    <xdr:to>
      <xdr:col>2</xdr:col>
      <xdr:colOff>1163375</xdr:colOff>
      <xdr:row>9</xdr:row>
      <xdr:rowOff>126807</xdr:rowOff>
    </xdr:to>
    <xdr:sp macro="" textlink="$D$29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328420" y="1543050"/>
          <a:ext cx="383540" cy="2578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EC6E2AD-3656-475A-9515-33B31CD28839}" type="TxLink">
            <a:rPr lang="en-US" sz="1000" b="0" i="0" u="none" strike="noStrike">
              <a:solidFill>
                <a:srgbClr val="000000"/>
              </a:solidFill>
              <a:latin typeface="Calibri" panose="020F0502020204030204"/>
              <a:cs typeface="Calibri" panose="020F0502020204030204"/>
            </a:rPr>
            <a:pPr/>
            <a:t>64</a:t>
          </a:fld>
          <a:endParaRPr lang="en-US" sz="1000" b="0" i="0" u="none" strike="noStrike">
            <a:solidFill>
              <a:srgbClr val="000000"/>
            </a:solidFill>
            <a:latin typeface="Calibri" panose="020F0502020204030204"/>
            <a:cs typeface="Calibri" panose="020F0502020204030204"/>
          </a:endParaRPr>
        </a:p>
      </xdr:txBody>
    </xdr:sp>
    <xdr:clientData/>
  </xdr:twoCellAnchor>
  <xdr:twoCellAnchor>
    <xdr:from>
      <xdr:col>2</xdr:col>
      <xdr:colOff>1115008</xdr:colOff>
      <xdr:row>8</xdr:row>
      <xdr:rowOff>45305</xdr:rowOff>
    </xdr:from>
    <xdr:to>
      <xdr:col>2</xdr:col>
      <xdr:colOff>1660330</xdr:colOff>
      <xdr:row>9</xdr:row>
      <xdr:rowOff>122417</xdr:rowOff>
    </xdr:to>
    <xdr:sp macro="" textlink="$H$29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663065" y="1536700"/>
          <a:ext cx="545465" cy="2597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72FC883-A420-4B5E-BD9B-2494B589D077}" type="TxLink">
            <a:rPr lang="en-US" sz="1000" b="0" i="0" u="none" strike="noStrike">
              <a:solidFill>
                <a:srgbClr val="000000"/>
              </a:solidFill>
              <a:latin typeface="Calibri" panose="020F0502020204030204"/>
              <a:cs typeface="Calibri" panose="020F0502020204030204"/>
            </a:rPr>
            <a:pPr/>
            <a:t>17.78 </a:t>
          </a:fld>
          <a:endParaRPr lang="en-US" sz="1000" b="0" i="0" u="none" strike="noStrike">
            <a:solidFill>
              <a:srgbClr val="000000"/>
            </a:solidFill>
            <a:latin typeface="Calibri" panose="020F0502020204030204"/>
            <a:cs typeface="Calibri" panose="020F0502020204030204"/>
          </a:endParaRPr>
        </a:p>
      </xdr:txBody>
    </xdr:sp>
    <xdr:clientData/>
  </xdr:twoCellAnchor>
  <xdr:twoCellAnchor>
    <xdr:from>
      <xdr:col>2</xdr:col>
      <xdr:colOff>2357397</xdr:colOff>
      <xdr:row>8</xdr:row>
      <xdr:rowOff>16564</xdr:rowOff>
    </xdr:from>
    <xdr:to>
      <xdr:col>3</xdr:col>
      <xdr:colOff>385470</xdr:colOff>
      <xdr:row>9</xdr:row>
      <xdr:rowOff>97486</xdr:rowOff>
    </xdr:to>
    <xdr:sp macro="" textlink="$D$4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905760" y="1508125"/>
          <a:ext cx="802005" cy="263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A083A216-0883-4C32-953A-68F855D530A3}" type="TxLink">
            <a:rPr lang="en-US" sz="1100" b="0" i="0" u="none" strike="noStrike">
              <a:solidFill>
                <a:srgbClr val="0070C0"/>
              </a:solidFill>
              <a:latin typeface="Calibri" panose="020F0502020204030204"/>
              <a:cs typeface="Calibri" panose="020F0502020204030204"/>
            </a:rPr>
            <a:pPr/>
            <a:t>5,000</a:t>
          </a:fld>
          <a:endParaRPr lang="en-US" sz="1100" b="0" i="0" u="none" strike="noStrike">
            <a:solidFill>
              <a:srgbClr val="0070C0"/>
            </a:solidFill>
            <a:latin typeface="Calibri" panose="020F0502020204030204"/>
            <a:cs typeface="Calibri" panose="020F0502020204030204"/>
          </a:endParaRPr>
        </a:p>
      </xdr:txBody>
    </xdr:sp>
    <xdr:clientData/>
  </xdr:twoCellAnchor>
  <xdr:twoCellAnchor>
    <xdr:from>
      <xdr:col>2</xdr:col>
      <xdr:colOff>2435753</xdr:colOff>
      <xdr:row>8</xdr:row>
      <xdr:rowOff>149087</xdr:rowOff>
    </xdr:from>
    <xdr:to>
      <xdr:col>3</xdr:col>
      <xdr:colOff>79018</xdr:colOff>
      <xdr:row>10</xdr:row>
      <xdr:rowOff>40171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983865" y="1640205"/>
          <a:ext cx="41719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900">
              <a:solidFill>
                <a:srgbClr val="0070C0"/>
              </a:solidFill>
            </a:rPr>
            <a:t>cfm</a:t>
          </a:r>
        </a:p>
      </xdr:txBody>
    </xdr:sp>
    <xdr:clientData/>
  </xdr:twoCellAnchor>
  <xdr:twoCellAnchor>
    <xdr:from>
      <xdr:col>4</xdr:col>
      <xdr:colOff>182220</xdr:colOff>
      <xdr:row>11</xdr:row>
      <xdr:rowOff>133184</xdr:rowOff>
    </xdr:from>
    <xdr:to>
      <xdr:col>6</xdr:col>
      <xdr:colOff>24848</xdr:colOff>
      <xdr:row>13</xdr:row>
      <xdr:rowOff>39508</xdr:rowOff>
    </xdr:to>
    <xdr:sp macro="" textlink="$D$39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395470" y="2172970"/>
          <a:ext cx="1101725" cy="2724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D98A7C64-E058-417C-B70B-A841BEB5504F}" type="TxLink">
            <a:rPr lang="en-US" sz="1100" b="0" i="0" u="none" strike="noStrike">
              <a:solidFill>
                <a:srgbClr val="000000"/>
              </a:solidFill>
              <a:latin typeface="Calibri" panose="020F0502020204030204"/>
              <a:cs typeface="Calibri" panose="020F0502020204030204"/>
            </a:rPr>
            <a:pPr/>
            <a:t>0.003360 </a:t>
          </a:fld>
          <a:endParaRPr lang="en-US" sz="1100" b="0" i="0" u="none" strike="noStrike">
            <a:solidFill>
              <a:srgbClr val="000000"/>
            </a:solidFill>
            <a:latin typeface="Calibri" panose="020F0502020204030204"/>
            <a:cs typeface="Calibri" panose="020F0502020204030204"/>
          </a:endParaRPr>
        </a:p>
      </xdr:txBody>
    </xdr:sp>
    <xdr:clientData/>
  </xdr:twoCellAnchor>
  <xdr:twoCellAnchor>
    <xdr:from>
      <xdr:col>4</xdr:col>
      <xdr:colOff>290559</xdr:colOff>
      <xdr:row>12</xdr:row>
      <xdr:rowOff>99391</xdr:rowOff>
    </xdr:from>
    <xdr:to>
      <xdr:col>5</xdr:col>
      <xdr:colOff>453639</xdr:colOff>
      <xdr:row>13</xdr:row>
      <xdr:rowOff>168883</xdr:rowOff>
    </xdr:to>
    <xdr:sp macro="" textlink="$D$16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504055" y="2322195"/>
          <a:ext cx="620395" cy="2520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BB962C8B-B14F-4D97-AF65-F5344CB8AC3E}" type="TxLink">
            <a:rPr lang="en-GB" sz="900"/>
            <a:pPr/>
            <a:t>52.9</a:t>
          </a:fld>
          <a:endParaRPr lang="en-GB" sz="900"/>
        </a:p>
      </xdr:txBody>
    </xdr:sp>
    <xdr:clientData/>
  </xdr:twoCellAnchor>
  <xdr:twoCellAnchor>
    <xdr:from>
      <xdr:col>2</xdr:col>
      <xdr:colOff>2471058</xdr:colOff>
      <xdr:row>7</xdr:row>
      <xdr:rowOff>170362</xdr:rowOff>
    </xdr:from>
    <xdr:to>
      <xdr:col>3</xdr:col>
      <xdr:colOff>448</xdr:colOff>
      <xdr:row>8</xdr:row>
      <xdr:rowOff>81643</xdr:rowOff>
    </xdr:to>
    <xdr:sp macro="" textlink="">
      <xdr:nvSpPr>
        <xdr:cNvPr id="3" name="Arrow: Righ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019425" y="1478915"/>
          <a:ext cx="302895" cy="93980"/>
        </a:xfrm>
        <a:prstGeom prst="rightArrow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226201</xdr:colOff>
      <xdr:row>10</xdr:row>
      <xdr:rowOff>87298</xdr:rowOff>
    </xdr:from>
    <xdr:to>
      <xdr:col>6</xdr:col>
      <xdr:colOff>337682</xdr:colOff>
      <xdr:row>11</xdr:row>
      <xdr:rowOff>172030</xdr:rowOff>
    </xdr:to>
    <xdr:sp macro="" textlink="$D$42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897120" y="1944370"/>
          <a:ext cx="912495" cy="2673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6FF988D-21D9-491A-B2C2-7539D99DA369}" type="TxLink">
            <a:rPr lang="en-US" sz="1100" b="0" i="0" u="none" strike="noStrike">
              <a:solidFill>
                <a:srgbClr val="0070C0"/>
              </a:solidFill>
              <a:latin typeface="Calibri" panose="020F0502020204030204"/>
              <a:cs typeface="Calibri" panose="020F0502020204030204"/>
            </a:rPr>
            <a:pPr/>
            <a:t>0.15 </a:t>
          </a:fld>
          <a:endParaRPr lang="en-US" sz="1100" b="0" i="0" u="none" strike="noStrike">
            <a:solidFill>
              <a:srgbClr val="0070C0"/>
            </a:solidFill>
            <a:latin typeface="Calibri" panose="020F0502020204030204"/>
            <a:cs typeface="Calibri" panose="020F0502020204030204"/>
          </a:endParaRPr>
        </a:p>
      </xdr:txBody>
    </xdr:sp>
    <xdr:clientData/>
  </xdr:twoCellAnchor>
  <xdr:twoCellAnchor>
    <xdr:from>
      <xdr:col>4</xdr:col>
      <xdr:colOff>426224</xdr:colOff>
      <xdr:row>11</xdr:row>
      <xdr:rowOff>35698</xdr:rowOff>
    </xdr:from>
    <xdr:to>
      <xdr:col>5</xdr:col>
      <xdr:colOff>275230</xdr:colOff>
      <xdr:row>11</xdr:row>
      <xdr:rowOff>138899</xdr:rowOff>
    </xdr:to>
    <xdr:sp macro="" textlink="">
      <xdr:nvSpPr>
        <xdr:cNvPr id="19" name="Arrow: Right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4639945" y="2075815"/>
          <a:ext cx="306070" cy="102870"/>
        </a:xfrm>
        <a:prstGeom prst="rightArrow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211540</xdr:colOff>
      <xdr:row>11</xdr:row>
      <xdr:rowOff>37604</xdr:rowOff>
    </xdr:from>
    <xdr:to>
      <xdr:col>6</xdr:col>
      <xdr:colOff>145276</xdr:colOff>
      <xdr:row>12</xdr:row>
      <xdr:rowOff>110905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4882515" y="2077720"/>
          <a:ext cx="734695" cy="2559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900">
              <a:solidFill>
                <a:srgbClr val="0070C0"/>
              </a:solidFill>
            </a:rPr>
            <a:t>usgpm</a:t>
          </a:r>
        </a:p>
      </xdr:txBody>
    </xdr:sp>
    <xdr:clientData/>
  </xdr:twoCellAnchor>
  <xdr:twoCellAnchor editAs="oneCell">
    <xdr:from>
      <xdr:col>2</xdr:col>
      <xdr:colOff>38100</xdr:colOff>
      <xdr:row>48</xdr:row>
      <xdr:rowOff>76200</xdr:rowOff>
    </xdr:from>
    <xdr:to>
      <xdr:col>5</xdr:col>
      <xdr:colOff>285115</xdr:colOff>
      <xdr:row>68</xdr:row>
      <xdr:rowOff>168275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35829C8-E32C-4A14-8115-1AC4AFC61EBE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6740" y="8854440"/>
          <a:ext cx="4369435" cy="3749675"/>
        </a:xfrm>
        <a:prstGeom prst="rect">
          <a:avLst/>
        </a:prstGeom>
      </xdr:spPr>
    </xdr:pic>
    <xdr:clientData/>
  </xdr:twoCellAnchor>
  <xdr:twoCellAnchor editAs="oneCell">
    <xdr:from>
      <xdr:col>2</xdr:col>
      <xdr:colOff>167640</xdr:colOff>
      <xdr:row>69</xdr:row>
      <xdr:rowOff>15240</xdr:rowOff>
    </xdr:from>
    <xdr:to>
      <xdr:col>5</xdr:col>
      <xdr:colOff>335280</xdr:colOff>
      <xdr:row>78</xdr:row>
      <xdr:rowOff>129540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7D15D333-2664-4548-86B5-187DBE15EA72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16280" y="12633960"/>
          <a:ext cx="4290060" cy="176022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6</xdr:col>
      <xdr:colOff>39370</xdr:colOff>
      <xdr:row>91</xdr:row>
      <xdr:rowOff>131445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539E196A-EB9F-4336-99FA-86E0C5A02C7F}"/>
            </a:ext>
          </a:extLst>
        </xdr:cNvPr>
        <xdr:cNvPicPr/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8640" y="14996160"/>
          <a:ext cx="5015230" cy="2150745"/>
        </a:xfrm>
        <a:prstGeom prst="rect">
          <a:avLst/>
        </a:prstGeom>
      </xdr:spPr>
    </xdr:pic>
    <xdr:clientData/>
  </xdr:twoCellAnchor>
  <xdr:twoCellAnchor editAs="oneCell">
    <xdr:from>
      <xdr:col>5</xdr:col>
      <xdr:colOff>733425</xdr:colOff>
      <xdr:row>69</xdr:row>
      <xdr:rowOff>57150</xdr:rowOff>
    </xdr:from>
    <xdr:to>
      <xdr:col>13</xdr:col>
      <xdr:colOff>350520</xdr:colOff>
      <xdr:row>78</xdr:row>
      <xdr:rowOff>74295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B4396BAA-CDCF-496C-80EC-D35FABDBAEF9}"/>
            </a:ext>
          </a:extLst>
        </xdr:cNvPr>
        <xdr:cNvPicPr/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404485" y="12675870"/>
          <a:ext cx="4394835" cy="16630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P48"/>
  <sheetViews>
    <sheetView showGridLines="0" tabSelected="1" zoomScaleNormal="100" workbookViewId="0">
      <selection activeCell="L11" sqref="L11"/>
    </sheetView>
  </sheetViews>
  <sheetFormatPr defaultColWidth="8.88671875" defaultRowHeight="14.4"/>
  <cols>
    <col min="1" max="1" width="3.33203125" customWidth="1"/>
    <col min="2" max="2" width="4.6640625" customWidth="1"/>
    <col min="3" max="3" width="40.44140625" customWidth="1"/>
    <col min="4" max="4" width="13"/>
    <col min="5" max="5" width="6.6640625" customWidth="1"/>
    <col min="6" max="6" width="12.44140625" bestFit="1" customWidth="1"/>
    <col min="7" max="7" width="5.88671875" customWidth="1"/>
    <col min="8" max="8" width="6.6640625" customWidth="1"/>
    <col min="9" max="9" width="2.77734375" customWidth="1"/>
    <col min="11" max="11" width="15.21875"/>
  </cols>
  <sheetData>
    <row r="2" spans="2:10">
      <c r="B2" s="1"/>
      <c r="C2" s="2"/>
      <c r="D2" s="3" t="s">
        <v>0</v>
      </c>
      <c r="E2" s="2"/>
      <c r="F2" s="2"/>
      <c r="G2" s="2"/>
      <c r="H2" s="2"/>
      <c r="I2" s="2"/>
      <c r="J2" s="24"/>
    </row>
    <row r="3" spans="2:10">
      <c r="B3" s="4"/>
      <c r="C3" s="5"/>
      <c r="D3" s="5"/>
      <c r="E3" s="5"/>
      <c r="F3" s="5"/>
      <c r="G3" s="5"/>
      <c r="H3" s="5"/>
      <c r="I3" s="5"/>
      <c r="J3" s="25"/>
    </row>
    <row r="4" spans="2:10">
      <c r="B4" s="4"/>
      <c r="C4" s="5" t="s">
        <v>1</v>
      </c>
      <c r="D4" s="6">
        <v>5000</v>
      </c>
      <c r="E4" s="7" t="s">
        <v>2</v>
      </c>
      <c r="F4" s="5"/>
      <c r="G4" s="5"/>
      <c r="H4" s="5"/>
      <c r="I4" s="5"/>
      <c r="J4" s="25"/>
    </row>
    <row r="5" spans="2:10">
      <c r="B5" s="4"/>
      <c r="C5" s="5"/>
      <c r="D5" s="5"/>
      <c r="E5" s="5"/>
      <c r="F5" s="5"/>
      <c r="G5" s="5"/>
      <c r="H5" s="5"/>
      <c r="I5" s="5"/>
      <c r="J5" s="25"/>
    </row>
    <row r="6" spans="2:10">
      <c r="B6" s="4"/>
      <c r="C6" s="5"/>
      <c r="D6" s="5"/>
      <c r="E6" s="5"/>
      <c r="F6" s="5"/>
      <c r="G6" s="5"/>
      <c r="H6" s="5"/>
      <c r="I6" s="5"/>
      <c r="J6" s="25"/>
    </row>
    <row r="7" spans="2:10">
      <c r="B7" s="4"/>
      <c r="C7" s="5"/>
      <c r="D7" s="5"/>
      <c r="E7" s="5"/>
      <c r="F7" s="5"/>
      <c r="G7" s="5"/>
      <c r="H7" s="5"/>
      <c r="I7" s="5"/>
      <c r="J7" s="25"/>
    </row>
    <row r="8" spans="2:10">
      <c r="B8" s="4"/>
      <c r="C8" s="5"/>
      <c r="D8" s="5"/>
      <c r="E8" s="5"/>
      <c r="F8" s="5"/>
      <c r="G8" s="5"/>
      <c r="H8" s="5"/>
      <c r="I8" s="5"/>
      <c r="J8" s="25"/>
    </row>
    <row r="9" spans="2:10">
      <c r="B9" s="4"/>
      <c r="C9" s="5"/>
      <c r="D9" s="5"/>
      <c r="E9" s="5"/>
      <c r="F9" s="5"/>
      <c r="G9" s="5"/>
      <c r="H9" s="5"/>
      <c r="I9" s="5"/>
      <c r="J9" s="25"/>
    </row>
    <row r="10" spans="2:10">
      <c r="B10" s="4"/>
      <c r="C10" s="5"/>
      <c r="D10" s="5"/>
      <c r="E10" s="5"/>
      <c r="F10" s="5"/>
      <c r="G10" s="5"/>
      <c r="H10" s="5"/>
      <c r="I10" s="5"/>
      <c r="J10" s="25"/>
    </row>
    <row r="11" spans="2:10">
      <c r="B11" s="4"/>
      <c r="C11" s="5"/>
      <c r="D11" s="5"/>
      <c r="E11" s="5"/>
      <c r="F11" s="5"/>
      <c r="G11" s="5"/>
      <c r="H11" s="5"/>
      <c r="I11" s="5"/>
      <c r="J11" s="25"/>
    </row>
    <row r="12" spans="2:10">
      <c r="B12" s="4"/>
      <c r="C12" s="5"/>
      <c r="D12" s="5"/>
      <c r="E12" s="5"/>
      <c r="F12" s="5"/>
      <c r="G12" s="5"/>
      <c r="H12" s="5"/>
      <c r="I12" s="5"/>
      <c r="J12" s="25"/>
    </row>
    <row r="13" spans="2:10">
      <c r="B13" s="4"/>
      <c r="C13" s="5"/>
      <c r="D13" s="5"/>
      <c r="E13" s="5"/>
      <c r="F13" s="5"/>
      <c r="G13" s="5"/>
      <c r="H13" s="5"/>
      <c r="I13" s="5"/>
      <c r="J13" s="25"/>
    </row>
    <row r="14" spans="2:10">
      <c r="B14" s="4"/>
      <c r="C14" s="5"/>
      <c r="D14" s="5"/>
      <c r="E14" s="5"/>
      <c r="F14" s="5"/>
      <c r="G14" s="5"/>
      <c r="H14" s="5"/>
      <c r="I14" s="5"/>
      <c r="J14" s="25"/>
    </row>
    <row r="15" spans="2:10">
      <c r="B15" s="4"/>
      <c r="C15" s="8" t="s">
        <v>3</v>
      </c>
      <c r="D15" s="5"/>
      <c r="E15" s="5"/>
      <c r="F15" s="5"/>
      <c r="G15" s="5"/>
      <c r="H15" s="5"/>
      <c r="I15" s="5"/>
      <c r="J15" s="25"/>
    </row>
    <row r="16" spans="2:10">
      <c r="B16" s="4"/>
      <c r="C16" s="5" t="s">
        <v>4</v>
      </c>
      <c r="D16" s="9">
        <v>52.9</v>
      </c>
      <c r="E16" s="10" t="s">
        <v>5</v>
      </c>
      <c r="F16" s="11">
        <f>(D16-32)*5/9+273.15</f>
        <v>284.76111111111106</v>
      </c>
      <c r="G16" s="12" t="s">
        <v>6</v>
      </c>
      <c r="H16" s="13">
        <f>(D16-32)*5/9</f>
        <v>11.611111111111111</v>
      </c>
      <c r="I16" s="12" t="s">
        <v>7</v>
      </c>
      <c r="J16" s="26"/>
    </row>
    <row r="17" spans="2:16">
      <c r="B17" s="4"/>
      <c r="C17" s="5" t="s">
        <v>8</v>
      </c>
      <c r="D17" s="9">
        <v>50.6</v>
      </c>
      <c r="E17" s="12" t="s">
        <v>9</v>
      </c>
      <c r="F17" s="11">
        <f>(D17-32)*5/9+273.15</f>
        <v>283.48333333333329</v>
      </c>
      <c r="G17" s="12" t="s">
        <v>6</v>
      </c>
      <c r="H17" s="13">
        <f>(D17-32)*5/9</f>
        <v>10.333333333333334</v>
      </c>
      <c r="I17" s="12" t="s">
        <v>7</v>
      </c>
      <c r="J17" s="26"/>
    </row>
    <row r="18" spans="2:16">
      <c r="B18" s="4"/>
      <c r="C18" s="31" t="s">
        <v>35</v>
      </c>
      <c r="D18" s="13">
        <f>6.112*EXP((17.67*H17)/(H17+243.5))</f>
        <v>12.548288993069722</v>
      </c>
      <c r="E18" s="12" t="s">
        <v>11</v>
      </c>
      <c r="F18" s="11">
        <f>D18*100/1000</f>
        <v>1.2548288993069723</v>
      </c>
      <c r="G18" s="14" t="s">
        <v>12</v>
      </c>
      <c r="H18" s="14"/>
      <c r="I18" s="12"/>
      <c r="J18" s="26"/>
    </row>
    <row r="19" spans="2:16">
      <c r="B19" s="4"/>
      <c r="C19" s="5" t="s">
        <v>14</v>
      </c>
      <c r="D19" s="15">
        <f>6.112*EXP((17.502*H16/(240.97+H16)))*100</f>
        <v>1366.4729749004034</v>
      </c>
      <c r="E19" s="12" t="s">
        <v>13</v>
      </c>
      <c r="F19" s="13"/>
      <c r="G19" s="12"/>
      <c r="H19" s="12"/>
      <c r="I19" s="12"/>
      <c r="J19" s="26"/>
    </row>
    <row r="20" spans="2:16">
      <c r="B20" s="4"/>
      <c r="C20" s="31" t="s">
        <v>10</v>
      </c>
      <c r="D20" s="13">
        <f>D18-D21/100*(H16-H17)*0.00066*(1+0.00115*H17)</f>
        <v>11.683627095611389</v>
      </c>
      <c r="E20" s="12" t="s">
        <v>11</v>
      </c>
      <c r="F20" s="16">
        <f>D20*100</f>
        <v>1168.3627095611389</v>
      </c>
      <c r="G20" s="12" t="s">
        <v>13</v>
      </c>
      <c r="H20" s="12"/>
      <c r="I20" s="12"/>
      <c r="J20" s="26"/>
    </row>
    <row r="21" spans="2:16">
      <c r="B21" s="4"/>
      <c r="C21" s="5" t="s">
        <v>15</v>
      </c>
      <c r="D21" s="6">
        <v>101325</v>
      </c>
      <c r="E21" s="12" t="s">
        <v>13</v>
      </c>
      <c r="F21" s="11">
        <f>D21/1000</f>
        <v>101.325</v>
      </c>
      <c r="G21" s="14" t="s">
        <v>12</v>
      </c>
      <c r="H21" s="12"/>
      <c r="I21" s="12"/>
      <c r="J21" s="26"/>
    </row>
    <row r="22" spans="2:16">
      <c r="B22" s="4"/>
      <c r="C22" s="5" t="s">
        <v>18</v>
      </c>
      <c r="D22" s="33">
        <f>0.622*F20/1000/(F21-F20/1000)</f>
        <v>7.2558506855581349E-3</v>
      </c>
      <c r="E22" s="12" t="s">
        <v>16</v>
      </c>
      <c r="F22" s="17">
        <f>D22*1000</f>
        <v>7.2558506855581353</v>
      </c>
      <c r="G22" s="12" t="s">
        <v>17</v>
      </c>
      <c r="H22" s="12"/>
      <c r="I22" s="12"/>
      <c r="J22" s="26"/>
      <c r="K22" s="27"/>
    </row>
    <row r="23" spans="2:16">
      <c r="B23" s="4"/>
      <c r="C23" s="5" t="s">
        <v>19</v>
      </c>
      <c r="D23" s="13"/>
      <c r="E23" s="12"/>
      <c r="F23" s="17">
        <f>F20/D19*100</f>
        <v>85.502072197680761</v>
      </c>
      <c r="G23" s="12" t="s">
        <v>20</v>
      </c>
      <c r="H23" s="12"/>
      <c r="I23" s="12"/>
      <c r="J23" s="26"/>
      <c r="K23" s="28"/>
    </row>
    <row r="24" spans="2:16">
      <c r="B24" s="4"/>
      <c r="C24" s="5" t="s">
        <v>21</v>
      </c>
      <c r="D24" s="11">
        <f>(F21*1000-D20*100)/(287.058*F16)+D20*100/(461.495*F16)</f>
        <v>1.2341538104006755</v>
      </c>
      <c r="E24" s="12" t="s">
        <v>22</v>
      </c>
      <c r="F24" s="11">
        <f>D24*0.062428</f>
        <v>7.7045754075693362E-2</v>
      </c>
      <c r="G24" s="7" t="s">
        <v>23</v>
      </c>
      <c r="H24" s="12"/>
      <c r="I24" s="12"/>
      <c r="J24" s="26"/>
    </row>
    <row r="25" spans="2:16">
      <c r="B25" s="4"/>
      <c r="C25" s="5" t="s">
        <v>24</v>
      </c>
      <c r="D25" s="18">
        <f>(1/D24)*(1+D22)</f>
        <v>0.8161509871760203</v>
      </c>
      <c r="E25" s="12" t="s">
        <v>25</v>
      </c>
      <c r="F25" s="11">
        <f>D25*16.0185</f>
        <v>13.07351458807908</v>
      </c>
      <c r="G25" s="12" t="s">
        <v>26</v>
      </c>
      <c r="H25" s="12"/>
      <c r="I25" s="12"/>
      <c r="J25" s="29"/>
    </row>
    <row r="26" spans="2:16">
      <c r="B26" s="4"/>
      <c r="C26" s="5"/>
      <c r="D26" s="12"/>
      <c r="E26" s="12"/>
      <c r="F26" s="12"/>
      <c r="G26" s="12"/>
      <c r="H26" s="12"/>
      <c r="I26" s="12"/>
      <c r="J26" s="26"/>
      <c r="K26" s="34"/>
      <c r="L26" s="34"/>
      <c r="M26" s="34"/>
      <c r="N26" s="34"/>
      <c r="O26" s="34"/>
      <c r="P26" s="34"/>
    </row>
    <row r="27" spans="2:16">
      <c r="B27" s="4"/>
      <c r="C27" s="8" t="s">
        <v>27</v>
      </c>
      <c r="D27" s="12"/>
      <c r="E27" s="12"/>
      <c r="F27" s="12"/>
      <c r="G27" s="12"/>
      <c r="H27" s="12"/>
      <c r="I27" s="12"/>
      <c r="J27" s="26"/>
      <c r="K27" s="34"/>
      <c r="L27" s="34"/>
      <c r="M27" s="34"/>
      <c r="N27" s="34"/>
      <c r="O27" s="34"/>
      <c r="P27" s="34"/>
    </row>
    <row r="28" spans="2:16">
      <c r="B28" s="4"/>
      <c r="C28" s="5" t="s">
        <v>4</v>
      </c>
      <c r="D28" s="9">
        <v>72.8</v>
      </c>
      <c r="E28" s="12" t="s">
        <v>9</v>
      </c>
      <c r="F28" s="11">
        <f>(D28-32)*5/9+273.15</f>
        <v>295.81666666666666</v>
      </c>
      <c r="G28" s="12" t="s">
        <v>6</v>
      </c>
      <c r="H28" s="13">
        <f>(D28-32)*5/9</f>
        <v>22.666666666666668</v>
      </c>
      <c r="I28" s="12" t="s">
        <v>7</v>
      </c>
      <c r="J28" s="26"/>
    </row>
    <row r="29" spans="2:16">
      <c r="B29" s="4"/>
      <c r="C29" s="5" t="s">
        <v>8</v>
      </c>
      <c r="D29" s="9">
        <v>64</v>
      </c>
      <c r="E29" s="12" t="s">
        <v>9</v>
      </c>
      <c r="F29" s="11">
        <f>(D29-32)*5/9+273.15</f>
        <v>290.92777777777775</v>
      </c>
      <c r="G29" s="12" t="s">
        <v>6</v>
      </c>
      <c r="H29" s="13">
        <f>(D29-32)*5/9</f>
        <v>17.777777777777779</v>
      </c>
      <c r="I29" s="12" t="s">
        <v>7</v>
      </c>
      <c r="J29" s="26"/>
    </row>
    <row r="30" spans="2:16">
      <c r="B30" s="4"/>
      <c r="C30" s="31" t="s">
        <v>35</v>
      </c>
      <c r="D30" s="13">
        <f>6.112*EXP((17.67*H29)/(H29+243.5))</f>
        <v>20.339208134320536</v>
      </c>
      <c r="E30" s="12" t="s">
        <v>11</v>
      </c>
      <c r="F30" s="11">
        <f>D30*100/1000</f>
        <v>2.0339208134320534</v>
      </c>
      <c r="G30" s="14" t="s">
        <v>12</v>
      </c>
      <c r="H30" s="14"/>
      <c r="I30" s="12"/>
      <c r="J30" s="26"/>
    </row>
    <row r="31" spans="2:16">
      <c r="B31" s="4"/>
      <c r="C31" s="5" t="s">
        <v>14</v>
      </c>
      <c r="D31" s="15">
        <f>6.112*EXP((17.502*H28/(240.97+H28)))*100</f>
        <v>2752.2998862381241</v>
      </c>
      <c r="E31" s="12" t="s">
        <v>13</v>
      </c>
      <c r="F31" s="13"/>
      <c r="G31" s="12"/>
      <c r="H31" s="12"/>
      <c r="I31" s="12"/>
      <c r="J31" s="26"/>
    </row>
    <row r="32" spans="2:16">
      <c r="B32" s="4"/>
      <c r="C32" s="31" t="s">
        <v>10</v>
      </c>
      <c r="D32" s="13">
        <f>D30-D33/100*(H28-H29)*0.00066*(1+0.00115*H29)</f>
        <v>17.00294665876498</v>
      </c>
      <c r="E32" s="12" t="s">
        <v>11</v>
      </c>
      <c r="F32" s="15">
        <f>D32*100</f>
        <v>1700.2946658764979</v>
      </c>
      <c r="G32" s="12" t="s">
        <v>13</v>
      </c>
      <c r="H32" s="12"/>
      <c r="I32" s="12"/>
      <c r="J32" s="26"/>
    </row>
    <row r="33" spans="2:10">
      <c r="B33" s="4"/>
      <c r="C33" s="5" t="s">
        <v>15</v>
      </c>
      <c r="D33" s="6">
        <v>101325</v>
      </c>
      <c r="E33" s="12" t="s">
        <v>13</v>
      </c>
      <c r="F33" s="11">
        <f>D33/1000</f>
        <v>101.325</v>
      </c>
      <c r="G33" s="14" t="s">
        <v>12</v>
      </c>
      <c r="H33" s="12"/>
      <c r="I33" s="12"/>
      <c r="J33" s="26"/>
    </row>
    <row r="34" spans="2:10">
      <c r="B34" s="4"/>
      <c r="C34" s="5" t="s">
        <v>18</v>
      </c>
      <c r="D34" s="19">
        <f>0.622*F32/1000/(F33-F32/1000)</f>
        <v>1.0615672875801598E-2</v>
      </c>
      <c r="E34" s="12" t="s">
        <v>16</v>
      </c>
      <c r="F34" s="17">
        <f>D34*1000</f>
        <v>10.615672875801598</v>
      </c>
      <c r="G34" s="12" t="s">
        <v>17</v>
      </c>
      <c r="H34" s="12"/>
      <c r="I34" s="12"/>
      <c r="J34" s="26"/>
    </row>
    <row r="35" spans="2:10">
      <c r="B35" s="4"/>
      <c r="C35" s="5" t="s">
        <v>19</v>
      </c>
      <c r="D35" s="13"/>
      <c r="E35" s="12"/>
      <c r="F35" s="13">
        <f>F32/D31*100</f>
        <v>61.777231266774514</v>
      </c>
      <c r="G35" s="32" t="s">
        <v>20</v>
      </c>
      <c r="H35" s="12"/>
      <c r="I35" s="12"/>
      <c r="J35" s="26"/>
    </row>
    <row r="36" spans="2:10">
      <c r="B36" s="4"/>
      <c r="C36" s="5" t="s">
        <v>21</v>
      </c>
      <c r="D36" s="11">
        <f>(F33*1000-D32*100)/(287.058*F28)+D32*100/(461.495*F28)</f>
        <v>1.1856620355252352</v>
      </c>
      <c r="E36" s="12" t="s">
        <v>22</v>
      </c>
      <c r="F36" s="11">
        <f>D36*0.062428</f>
        <v>7.4018509553769374E-2</v>
      </c>
      <c r="G36" s="12" t="s">
        <v>23</v>
      </c>
      <c r="H36" s="12"/>
      <c r="I36" s="12"/>
      <c r="J36" s="26"/>
    </row>
    <row r="37" spans="2:10">
      <c r="B37" s="4"/>
      <c r="C37" s="5" t="s">
        <v>24</v>
      </c>
      <c r="D37" s="18">
        <f>(1/D36)*(1+D34)</f>
        <v>0.85236403173532505</v>
      </c>
      <c r="E37" s="12" t="s">
        <v>25</v>
      </c>
      <c r="F37" s="11">
        <f>D37*16.0185</f>
        <v>13.653593242352304</v>
      </c>
      <c r="G37" s="12" t="s">
        <v>26</v>
      </c>
      <c r="H37" s="12"/>
      <c r="I37" s="12"/>
      <c r="J37" s="29"/>
    </row>
    <row r="38" spans="2:10">
      <c r="B38" s="4"/>
      <c r="C38" s="5"/>
      <c r="D38" s="12"/>
      <c r="E38" s="12"/>
      <c r="F38" s="5"/>
      <c r="G38" s="5"/>
      <c r="H38" s="5"/>
      <c r="I38" s="5"/>
      <c r="J38" s="25"/>
    </row>
    <row r="39" spans="2:10">
      <c r="B39" s="4"/>
      <c r="C39" s="5" t="s">
        <v>28</v>
      </c>
      <c r="D39" s="20">
        <f>D34-D22</f>
        <v>3.3598221902434626E-3</v>
      </c>
      <c r="E39" s="12" t="s">
        <v>29</v>
      </c>
      <c r="F39" s="5"/>
      <c r="G39" s="5"/>
      <c r="H39" s="5"/>
      <c r="I39" s="5"/>
      <c r="J39" s="25"/>
    </row>
    <row r="40" spans="2:10">
      <c r="B40" s="4"/>
      <c r="C40" s="5" t="s">
        <v>30</v>
      </c>
      <c r="D40" s="21">
        <f>D4*1/F25</f>
        <v>382.4526271274587</v>
      </c>
      <c r="E40" s="12" t="s">
        <v>31</v>
      </c>
      <c r="F40" s="5"/>
      <c r="G40" s="5"/>
      <c r="H40" s="5"/>
      <c r="I40" s="5"/>
      <c r="J40" s="25"/>
    </row>
    <row r="41" spans="2:10">
      <c r="B41" s="4"/>
      <c r="C41" s="5" t="s">
        <v>32</v>
      </c>
      <c r="D41" s="11">
        <f>D40*D39</f>
        <v>1.2849728233397446</v>
      </c>
      <c r="E41" s="12" t="s">
        <v>31</v>
      </c>
      <c r="F41" s="5"/>
      <c r="G41" s="5"/>
      <c r="H41" s="5"/>
      <c r="I41" s="5"/>
      <c r="J41" s="25"/>
    </row>
    <row r="42" spans="2:10">
      <c r="B42" s="4"/>
      <c r="C42" s="5" t="s">
        <v>32</v>
      </c>
      <c r="D42" s="13">
        <f>D4*1/F25*D39*0.12</f>
        <v>0.15419673880076934</v>
      </c>
      <c r="E42" s="12" t="s">
        <v>33</v>
      </c>
      <c r="F42" s="5"/>
      <c r="G42" s="5"/>
      <c r="H42" s="5"/>
      <c r="I42" s="5"/>
      <c r="J42" s="25"/>
    </row>
    <row r="43" spans="2:10">
      <c r="B43" s="4"/>
      <c r="C43" s="5" t="s">
        <v>32</v>
      </c>
      <c r="D43" s="13">
        <f>D42*3785.41/60</f>
        <v>9.7282979503970051</v>
      </c>
      <c r="E43" s="7" t="s">
        <v>34</v>
      </c>
      <c r="F43" s="5"/>
      <c r="G43" s="5"/>
      <c r="H43" s="5"/>
      <c r="I43" s="5"/>
      <c r="J43" s="25"/>
    </row>
    <row r="44" spans="2:10">
      <c r="B44" s="22"/>
      <c r="C44" s="23"/>
      <c r="D44" s="23"/>
      <c r="E44" s="23"/>
      <c r="F44" s="23"/>
      <c r="G44" s="23"/>
      <c r="H44" s="23"/>
      <c r="I44" s="23"/>
      <c r="J44" s="30"/>
    </row>
    <row r="48" spans="2:10">
      <c r="C48" s="35" t="s">
        <v>36</v>
      </c>
    </row>
  </sheetData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2021-10-02T21:23:15Z</dcterms:created>
  <dcterms:modified xsi:type="dcterms:W3CDTF">2021-10-02T21:23:22Z</dcterms:modified>
</cp:coreProperties>
</file>